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ПРОИЗВОДСТВЕННЫЙ БЛОК\Дирекция по сетям и головным сооружениям\РСО Самолет-Прогресс\Рябов\Раскрытие информации\Раздел 46\3.5 Расчет стоимости технологического присоединения\2021\"/>
    </mc:Choice>
  </mc:AlternateContent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0" i="1"/>
  <c r="H17" i="1"/>
  <c r="H16" i="1"/>
  <c r="H13" i="1"/>
  <c r="H12" i="1"/>
  <c r="H9" i="1"/>
  <c r="H8" i="1"/>
  <c r="K21" i="1"/>
  <c r="K20" i="1"/>
  <c r="K17" i="1"/>
  <c r="K16" i="1"/>
  <c r="K13" i="1"/>
  <c r="K12" i="1"/>
  <c r="J21" i="1"/>
  <c r="J20" i="1"/>
  <c r="J17" i="1"/>
  <c r="J16" i="1"/>
  <c r="J13" i="1"/>
  <c r="J12" i="1"/>
  <c r="K23" i="1"/>
  <c r="J23" i="1"/>
  <c r="K19" i="1"/>
  <c r="J19" i="1"/>
  <c r="K15" i="1"/>
  <c r="J15" i="1"/>
  <c r="K11" i="1"/>
  <c r="J11" i="1"/>
  <c r="K22" i="1"/>
  <c r="J22" i="1"/>
  <c r="K18" i="1"/>
  <c r="J18" i="1"/>
  <c r="K14" i="1"/>
  <c r="J14" i="1"/>
  <c r="K10" i="1"/>
  <c r="J10" i="1"/>
  <c r="I21" i="1"/>
  <c r="I20" i="1"/>
  <c r="I22" i="1"/>
  <c r="I23" i="1"/>
  <c r="I19" i="1"/>
  <c r="I10" i="1"/>
  <c r="I18" i="1"/>
  <c r="I17" i="1"/>
  <c r="I16" i="1"/>
  <c r="I15" i="1"/>
  <c r="I14" i="1"/>
  <c r="I13" i="1"/>
  <c r="I12" i="1"/>
  <c r="I11" i="1"/>
  <c r="H23" i="1"/>
  <c r="H22" i="1"/>
  <c r="H19" i="1"/>
  <c r="H18" i="1"/>
  <c r="H15" i="1"/>
  <c r="H14" i="1"/>
  <c r="H11" i="1" l="1"/>
  <c r="H10" i="1"/>
  <c r="K9" i="1"/>
  <c r="J9" i="1"/>
  <c r="J8" i="1"/>
  <c r="I9" i="1"/>
  <c r="K8" i="1" l="1"/>
  <c r="I8" i="1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8" i="1"/>
  <c r="E13" i="1"/>
  <c r="E14" i="1"/>
  <c r="E15" i="1"/>
  <c r="E16" i="1"/>
  <c r="E17" i="1"/>
  <c r="E18" i="1"/>
  <c r="E19" i="1"/>
  <c r="E20" i="1"/>
  <c r="E21" i="1"/>
  <c r="E22" i="1"/>
  <c r="E23" i="1"/>
  <c r="E12" i="1"/>
  <c r="D13" i="1"/>
  <c r="D14" i="1"/>
  <c r="D15" i="1"/>
  <c r="D16" i="1"/>
  <c r="D17" i="1"/>
  <c r="D18" i="1"/>
  <c r="D19" i="1"/>
  <c r="D20" i="1"/>
  <c r="D21" i="1"/>
  <c r="D22" i="1"/>
  <c r="D23" i="1"/>
  <c r="D12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9" i="1"/>
  <c r="F8" i="1"/>
</calcChain>
</file>

<file path=xl/sharedStrings.xml><?xml version="1.0" encoding="utf-8"?>
<sst xmlns="http://schemas.openxmlformats.org/spreadsheetml/2006/main" count="49" uniqueCount="16">
  <si>
    <t>Категория надежности</t>
  </si>
  <si>
    <t>I-II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</si>
  <si>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</si>
  <si>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</si>
  <si>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</si>
  <si>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</si>
  <si>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</t>
  </si>
  <si>
    <t>300 - городская местность</t>
  </si>
  <si>
    <t>Да</t>
  </si>
  <si>
    <t>КЛ</t>
  </si>
  <si>
    <t>ВЛ</t>
  </si>
  <si>
    <t>Нет</t>
  </si>
  <si>
    <t>Мощность энергопринимающих устройств заявителя, кВт</t>
  </si>
  <si>
    <t>550*</t>
  </si>
  <si>
    <t>* При условии присоединения с учетом соблюдения Требований пункта 17 Правил технологического присоединения энергопринимающих устройств потребителей электрической энергии, объектов по производству, а также объектов электросетевого хозяйства, принадлежащих сетевым организациям и иным лицам, к электрическим сетям, утвержденных Постановлением Правительства РФ № 861 от 27.12.2004</t>
  </si>
  <si>
    <t>Стоимость технологического присоединения к электрическим сетям сетевой организации в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</si>
</sst>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22272F"/>
      <name val="Times New Roman"/>
      <family val="1"/>
      <charset val="204"/>
    </font>
    <font>
      <sz val="10"/>
      <color rgb="FF464C55"/>
      <name val="Times New Roman"/>
      <family val="1"/>
      <charset val="204"/>
    </font>
    <font>
      <b/>
      <sz val="14"/>
      <color rgb="FF464C5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2" fillId="0" borderId="0" xfId="0" applyFont="1" applyAlignment="1">
      <alignment vertical="center" wrapText="1"/>
    </xf>
    <xf numFmtId="43" fontId="2" fillId="2" borderId="5" xfId="1" applyFont="1" applyFill="1" applyBorder="1" applyAlignment="1">
      <alignment horizontal="center" vertical="center" wrapText="1"/>
    </xf>
    <xf numFmtId="43" fontId="2" fillId="0" borderId="5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5"/>
  <sheetViews>
    <sheetView tabSelected="1" zoomScale="120" zoomScaleNormal="120" workbookViewId="0">
      <selection activeCell="L25" sqref="L25"/>
    </sheetView>
  </sheetViews>
  <sheetFormatPr defaultRowHeight="15" x14ac:dyDescent="0.25"/>
  <cols>
    <col min="1" max="1" width="16" customWidth="1"/>
    <col min="4" max="4" width="13.5703125" customWidth="1"/>
    <col min="5" max="5" width="11.5703125" customWidth="1"/>
    <col min="6" max="6" width="12" customWidth="1"/>
    <col min="7" max="7" width="10.85546875" customWidth="1"/>
    <col min="8" max="8" width="12.7109375" customWidth="1"/>
    <col min="9" max="9" width="11.7109375" customWidth="1"/>
    <col min="10" max="10" width="14.7109375" customWidth="1"/>
    <col min="11" max="11" width="13.7109375" customWidth="1"/>
  </cols>
  <sheetData>
    <row r="3" spans="1:11" ht="18.75" x14ac:dyDescent="0.3">
      <c r="A3" s="11" t="s">
        <v>15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5.75" thickBot="1" x14ac:dyDescent="0.3"/>
    <row r="5" spans="1:11" ht="78" customHeight="1" thickBot="1" x14ac:dyDescent="0.3">
      <c r="A5" s="15" t="s">
        <v>12</v>
      </c>
      <c r="B5" s="16"/>
      <c r="C5" s="17"/>
      <c r="D5" s="15">
        <v>15</v>
      </c>
      <c r="E5" s="17"/>
      <c r="F5" s="15">
        <v>150</v>
      </c>
      <c r="G5" s="17"/>
      <c r="H5" s="15">
        <v>250</v>
      </c>
      <c r="I5" s="17"/>
      <c r="J5" s="15">
        <v>670</v>
      </c>
      <c r="K5" s="17"/>
    </row>
    <row r="6" spans="1:11" ht="15.75" thickBot="1" x14ac:dyDescent="0.3">
      <c r="A6" s="15" t="s">
        <v>0</v>
      </c>
      <c r="B6" s="16"/>
      <c r="C6" s="17"/>
      <c r="D6" s="1" t="s">
        <v>1</v>
      </c>
      <c r="E6" s="1" t="s">
        <v>2</v>
      </c>
      <c r="F6" s="1" t="s">
        <v>1</v>
      </c>
      <c r="G6" s="1" t="s">
        <v>2</v>
      </c>
      <c r="H6" s="1" t="s">
        <v>1</v>
      </c>
      <c r="I6" s="1" t="s">
        <v>2</v>
      </c>
      <c r="J6" s="1" t="s">
        <v>1</v>
      </c>
      <c r="K6" s="1" t="s">
        <v>2</v>
      </c>
    </row>
    <row r="7" spans="1:11" ht="77.25" thickBot="1" x14ac:dyDescent="0.3">
      <c r="A7" s="2" t="s">
        <v>3</v>
      </c>
      <c r="B7" s="1" t="s">
        <v>4</v>
      </c>
      <c r="C7" s="1" t="s">
        <v>5</v>
      </c>
      <c r="D7" s="3"/>
      <c r="E7" s="3"/>
      <c r="F7" s="3"/>
      <c r="G7" s="3"/>
      <c r="H7" s="3"/>
      <c r="I7" s="3"/>
      <c r="J7" s="3"/>
      <c r="K7" s="3"/>
    </row>
    <row r="8" spans="1:11" ht="26.25" thickBot="1" x14ac:dyDescent="0.3">
      <c r="A8" s="4" t="s">
        <v>6</v>
      </c>
      <c r="B8" s="12" t="s">
        <v>8</v>
      </c>
      <c r="C8" s="1" t="s">
        <v>9</v>
      </c>
      <c r="D8" s="8" t="s">
        <v>13</v>
      </c>
      <c r="E8" s="8" t="s">
        <v>13</v>
      </c>
      <c r="F8" s="8">
        <f>7106.42*1.2+38679.6*2*1.2</f>
        <v>101358.74399999999</v>
      </c>
      <c r="G8" s="8">
        <f>7106.42*1.2+38679.6*1.2</f>
        <v>54943.223999999995</v>
      </c>
      <c r="H8" s="8">
        <f>10622.28*1.2+(38679.6+2061727.83*0.3+250*4790.45)*2*1.2</f>
        <v>4464291.8135999991</v>
      </c>
      <c r="I8" s="8">
        <f>10622.28*1.2+(38679.6+2061727.83*0.3+250*3606.83)*1.2</f>
        <v>1883433.2748</v>
      </c>
      <c r="J8" s="8">
        <f>10622.28*1.2+(38679.6+4752123.98*0.3+670*3451.01)*2*1.2</f>
        <v>9076331.1216000002</v>
      </c>
      <c r="K8" s="8">
        <f>10622.28*1.2+(38679.6+4752123.98*0.3+670*3515.66)*1.2</f>
        <v>4596517.5287999995</v>
      </c>
    </row>
    <row r="9" spans="1:11" ht="26.25" thickBot="1" x14ac:dyDescent="0.3">
      <c r="A9" s="4" t="s">
        <v>7</v>
      </c>
      <c r="B9" s="13"/>
      <c r="C9" s="1" t="s">
        <v>10</v>
      </c>
      <c r="D9" s="8" t="s">
        <v>13</v>
      </c>
      <c r="E9" s="8" t="s">
        <v>13</v>
      </c>
      <c r="F9" s="8">
        <f>7106.42*1.2+38679.6*2*1.2</f>
        <v>101358.74399999999</v>
      </c>
      <c r="G9" s="8">
        <f t="shared" ref="G9:G23" si="0">7106.42*1.2+38679.6*1.2</f>
        <v>54943.223999999995</v>
      </c>
      <c r="H9" s="8">
        <f>10622.28*1.2+(38679.6+1597669.2*0.3+250*4790.45)*2*1.2</f>
        <v>4130169.5999999996</v>
      </c>
      <c r="I9" s="8">
        <f>10622.28*1.2+(38979.6+1597669.2*0.3+250*3606.83)*1.2</f>
        <v>1716732.1679999998</v>
      </c>
      <c r="J9" s="8">
        <f>10622.28*1.2+(38679.6+4812676.27*0.3+670*3451.01)*2*1.2</f>
        <v>9119928.7703999989</v>
      </c>
      <c r="K9" s="8">
        <f>10622.28*1.2+(38679.6+4812676.27*0.3+670*3515.66)*1.2</f>
        <v>4618316.3531999988</v>
      </c>
    </row>
    <row r="10" spans="1:11" ht="15.75" thickBot="1" x14ac:dyDescent="0.3">
      <c r="A10" s="5"/>
      <c r="B10" s="12" t="s">
        <v>11</v>
      </c>
      <c r="C10" s="1" t="s">
        <v>9</v>
      </c>
      <c r="D10" s="8" t="s">
        <v>13</v>
      </c>
      <c r="E10" s="8" t="s">
        <v>13</v>
      </c>
      <c r="F10" s="8">
        <f t="shared" ref="F10:F23" si="1">7106.42*1.2+38679.6*2*1.2</f>
        <v>101358.74399999999</v>
      </c>
      <c r="G10" s="8">
        <f t="shared" si="0"/>
        <v>54943.223999999995</v>
      </c>
      <c r="H10" s="9">
        <f>10622.28*1.2+(377320+2061727.83*0.3)*2*1.2</f>
        <v>2402758.7736</v>
      </c>
      <c r="I10" s="9">
        <f>10622.28*1.2+(377320+2061727.83*0.3)*1.2</f>
        <v>1207752.7548</v>
      </c>
      <c r="J10" s="9">
        <f>10622.28*1.2+(377320+4752123.98*0.3)*2*1.2</f>
        <v>4339844.0016000001</v>
      </c>
      <c r="K10" s="9">
        <f>10622.28*1.2+(377320+4752123.98*0.3)*1.2</f>
        <v>2176295.3688000003</v>
      </c>
    </row>
    <row r="11" spans="1:11" ht="15.75" thickBot="1" x14ac:dyDescent="0.3">
      <c r="A11" s="6"/>
      <c r="B11" s="13"/>
      <c r="C11" s="1" t="s">
        <v>10</v>
      </c>
      <c r="D11" s="8" t="s">
        <v>13</v>
      </c>
      <c r="E11" s="8" t="s">
        <v>13</v>
      </c>
      <c r="F11" s="8">
        <f t="shared" si="1"/>
        <v>101358.74399999999</v>
      </c>
      <c r="G11" s="8">
        <f t="shared" si="0"/>
        <v>54943.223999999995</v>
      </c>
      <c r="H11" s="9">
        <f>10622.28*1.2+(377320+1597669.2*0.3)*2*1.2</f>
        <v>2068636.56</v>
      </c>
      <c r="I11" s="9">
        <f>10622.28*1.2+(377320+1597669.2*0.3)*1.2</f>
        <v>1040691.648</v>
      </c>
      <c r="J11" s="9">
        <f>10622.28*1.2+(377320+4812676.27*0.3)*2*1.2</f>
        <v>4383441.6503999988</v>
      </c>
      <c r="K11" s="9">
        <f>10622.28*1.2+(377320+4812676.27*0.3)*1.2</f>
        <v>2198094.1931999996</v>
      </c>
    </row>
    <row r="12" spans="1:11" ht="15.75" thickBot="1" x14ac:dyDescent="0.3">
      <c r="A12" s="12">
        <v>750</v>
      </c>
      <c r="B12" s="12" t="s">
        <v>8</v>
      </c>
      <c r="C12" s="1" t="s">
        <v>9</v>
      </c>
      <c r="D12" s="8">
        <f>7106.42*1.2+29706.18*2*1.2</f>
        <v>79822.535999999993</v>
      </c>
      <c r="E12" s="8">
        <f>7106.42*1.2+29706.18*1.2</f>
        <v>44175.119999999995</v>
      </c>
      <c r="F12" s="8">
        <f t="shared" si="1"/>
        <v>101358.74399999999</v>
      </c>
      <c r="G12" s="8">
        <f t="shared" si="0"/>
        <v>54943.223999999995</v>
      </c>
      <c r="H12" s="9">
        <f>10622.28*1.2+(38679.6+2061727.83*0.75+250*4790.45)*2*1.2</f>
        <v>6690957.8700000001</v>
      </c>
      <c r="I12" s="9">
        <f>10622.28*1.2+(38679.6+2061727.83*0.75+250*3606.83)*1.2</f>
        <v>2996766.3030000003</v>
      </c>
      <c r="J12" s="9">
        <f>10622.28*1.2+(38679.6+4752123.98*0.75+670*4840.39)*2*1.2</f>
        <v>16442748.060000001</v>
      </c>
      <c r="K12" s="9">
        <f>10622.28*1.2+(38679.6+4752123.98*0.75+670*5237.86)*1.2</f>
        <v>8547313.277999999</v>
      </c>
    </row>
    <row r="13" spans="1:11" ht="15.75" thickBot="1" x14ac:dyDescent="0.3">
      <c r="A13" s="14"/>
      <c r="B13" s="13"/>
      <c r="C13" s="1" t="s">
        <v>10</v>
      </c>
      <c r="D13" s="8">
        <f t="shared" ref="D13:D23" si="2">7106.42*1.2+29706.18*2*1.2</f>
        <v>79822.535999999993</v>
      </c>
      <c r="E13" s="8">
        <f t="shared" ref="E13:E23" si="3">7106.42*1.2+29706.18*1.2</f>
        <v>44175.119999999995</v>
      </c>
      <c r="F13" s="8">
        <f t="shared" si="1"/>
        <v>101358.74399999999</v>
      </c>
      <c r="G13" s="8">
        <f t="shared" si="0"/>
        <v>54943.223999999995</v>
      </c>
      <c r="H13" s="9">
        <f>10622.28*1.2+(38679.6+1597669.2*0.75+250*4790.45)*2*1.2</f>
        <v>5855652.3359999992</v>
      </c>
      <c r="I13" s="9">
        <f>10622.28*1.2+(38679.6+1597669.2*0.75+250*3606.83)*1.2</f>
        <v>2579113.5359999998</v>
      </c>
      <c r="J13" s="9">
        <f>10622.28*1.2+(38679.6+4812676.27*0.75+670*4840.39)*2*1.2</f>
        <v>16551742.181999998</v>
      </c>
      <c r="K13" s="9">
        <f>10622.28*1.2+(38679.6+4812676.27*0.75+670*5237.86)*1.2</f>
        <v>8601810.3389999978</v>
      </c>
    </row>
    <row r="14" spans="1:11" ht="15.75" thickBot="1" x14ac:dyDescent="0.3">
      <c r="A14" s="14"/>
      <c r="B14" s="12" t="s">
        <v>11</v>
      </c>
      <c r="C14" s="1" t="s">
        <v>9</v>
      </c>
      <c r="D14" s="8">
        <f t="shared" si="2"/>
        <v>79822.535999999993</v>
      </c>
      <c r="E14" s="8">
        <f t="shared" si="3"/>
        <v>44175.119999999995</v>
      </c>
      <c r="F14" s="8">
        <f t="shared" si="1"/>
        <v>101358.74399999999</v>
      </c>
      <c r="G14" s="8">
        <f t="shared" si="0"/>
        <v>54943.223999999995</v>
      </c>
      <c r="H14" s="9">
        <f>10622.28*1.2+(38679.6+2061727.83*0.75)*2*1.2</f>
        <v>3816687.87</v>
      </c>
      <c r="I14" s="9">
        <f>10622.28*1.2+(377320+2061727.83*0.75)*1.2</f>
        <v>2321085.7829999998</v>
      </c>
      <c r="J14" s="9">
        <f>10622.28*1.2+(377320+4752123.98*0.75)*2*1.2</f>
        <v>9472137.9000000004</v>
      </c>
      <c r="K14" s="9">
        <f>10622.28*1.2+(377320+4752123.98*0.75)*1.2</f>
        <v>4742442.318</v>
      </c>
    </row>
    <row r="15" spans="1:11" ht="15.75" thickBot="1" x14ac:dyDescent="0.3">
      <c r="A15" s="13"/>
      <c r="B15" s="13"/>
      <c r="C15" s="1" t="s">
        <v>10</v>
      </c>
      <c r="D15" s="8">
        <f t="shared" si="2"/>
        <v>79822.535999999993</v>
      </c>
      <c r="E15" s="8">
        <f t="shared" si="3"/>
        <v>44175.119999999995</v>
      </c>
      <c r="F15" s="8">
        <f t="shared" si="1"/>
        <v>101358.74399999999</v>
      </c>
      <c r="G15" s="8">
        <f t="shared" si="0"/>
        <v>54943.223999999995</v>
      </c>
      <c r="H15" s="9">
        <f>10622.28*1.2+(38679.6+1597669.2*0.75)*2*1.2</f>
        <v>2981382.3360000001</v>
      </c>
      <c r="I15" s="9">
        <f>10622.28*1.2+(377320+1597669.2*0.75)*1.2</f>
        <v>1903433.0159999998</v>
      </c>
      <c r="J15" s="9">
        <f>10622.28*1.2+(377320+4812676.27*0.75)*2*1.2</f>
        <v>9581132.021999998</v>
      </c>
      <c r="K15" s="9">
        <f>10622.28*1.2+(377320+4812676.27*0.75)*1.2</f>
        <v>4796939.3789999988</v>
      </c>
    </row>
    <row r="16" spans="1:11" ht="15.75" thickBot="1" x14ac:dyDescent="0.3">
      <c r="A16" s="12">
        <v>1000</v>
      </c>
      <c r="B16" s="12" t="s">
        <v>8</v>
      </c>
      <c r="C16" s="1" t="s">
        <v>9</v>
      </c>
      <c r="D16" s="8">
        <f t="shared" si="2"/>
        <v>79822.535999999993</v>
      </c>
      <c r="E16" s="8">
        <f t="shared" si="3"/>
        <v>44175.119999999995</v>
      </c>
      <c r="F16" s="8">
        <f t="shared" si="1"/>
        <v>101358.74399999999</v>
      </c>
      <c r="G16" s="8">
        <f t="shared" si="0"/>
        <v>54943.223999999995</v>
      </c>
      <c r="H16" s="9">
        <f>10622.28*1.2+(38679.6+2061727.83*1+250*4790.45)*2*1.2</f>
        <v>7927994.568</v>
      </c>
      <c r="I16" s="9">
        <f>10622.28*1.2+(38679.6+2061727.83*1+250*3606.83)*1.2</f>
        <v>3615284.6520000002</v>
      </c>
      <c r="J16" s="9">
        <f>10622.28*1.2+(38679.6+4752123.98*1+670*4840.39)*2*1.2</f>
        <v>19294022.448000003</v>
      </c>
      <c r="K16" s="9">
        <f>10622.28*1.2+(38679.6+4752123.98*1+670*5237.86)*1.2</f>
        <v>9972950.4719999991</v>
      </c>
    </row>
    <row r="17" spans="1:11" ht="15.75" thickBot="1" x14ac:dyDescent="0.3">
      <c r="A17" s="14"/>
      <c r="B17" s="13"/>
      <c r="C17" s="1" t="s">
        <v>10</v>
      </c>
      <c r="D17" s="8">
        <f t="shared" si="2"/>
        <v>79822.535999999993</v>
      </c>
      <c r="E17" s="8">
        <f t="shared" si="3"/>
        <v>44175.119999999995</v>
      </c>
      <c r="F17" s="8">
        <f t="shared" si="1"/>
        <v>101358.74399999999</v>
      </c>
      <c r="G17" s="8">
        <f t="shared" si="0"/>
        <v>54943.223999999995</v>
      </c>
      <c r="H17" s="9">
        <f>10622.28*1.2+(38679.6+1597669.2*1+250*4790.45)*2*1.2</f>
        <v>6814253.8559999987</v>
      </c>
      <c r="I17" s="9">
        <f>10622.28*1.2+(38679.6+1597669.2*1+250*3606.83)*1.2</f>
        <v>3058414.2959999996</v>
      </c>
      <c r="J17" s="9">
        <f>10622.28*1.2+(38679.6+4812676.27*1+670*4840.39)*2*1.2</f>
        <v>19439347.944000002</v>
      </c>
      <c r="K17" s="9">
        <f>10622.28*1.2+(38679.6+4812676.27*1+670*5237.86)*1.2</f>
        <v>10045613.219999997</v>
      </c>
    </row>
    <row r="18" spans="1:11" ht="15.75" thickBot="1" x14ac:dyDescent="0.3">
      <c r="A18" s="14"/>
      <c r="B18" s="12" t="s">
        <v>11</v>
      </c>
      <c r="C18" s="1" t="s">
        <v>9</v>
      </c>
      <c r="D18" s="8">
        <f t="shared" si="2"/>
        <v>79822.535999999993</v>
      </c>
      <c r="E18" s="8">
        <f t="shared" si="3"/>
        <v>44175.119999999995</v>
      </c>
      <c r="F18" s="8">
        <f t="shared" si="1"/>
        <v>101358.74399999999</v>
      </c>
      <c r="G18" s="8">
        <f t="shared" si="0"/>
        <v>54943.223999999995</v>
      </c>
      <c r="H18" s="9">
        <f>10622.28*1.2+(38679.6+2061727.83*1)*2*1.2</f>
        <v>5053724.568</v>
      </c>
      <c r="I18" s="9">
        <f>10622.28*1.2+(377320+2061727.83*1)*1.2</f>
        <v>2939604.1320000002</v>
      </c>
      <c r="J18" s="9">
        <f>10622.28*1.2+(377320+4752123.98*1)*2*1.2</f>
        <v>12323412.288000001</v>
      </c>
      <c r="K18" s="9">
        <f>10622.28*1.2+(377320+4752123.98*1)*1.2</f>
        <v>6168079.5120000001</v>
      </c>
    </row>
    <row r="19" spans="1:11" ht="15.75" thickBot="1" x14ac:dyDescent="0.3">
      <c r="A19" s="13"/>
      <c r="B19" s="13"/>
      <c r="C19" s="1" t="s">
        <v>10</v>
      </c>
      <c r="D19" s="8">
        <f t="shared" si="2"/>
        <v>79822.535999999993</v>
      </c>
      <c r="E19" s="8">
        <f t="shared" si="3"/>
        <v>44175.119999999995</v>
      </c>
      <c r="F19" s="8">
        <f t="shared" si="1"/>
        <v>101358.74399999999</v>
      </c>
      <c r="G19" s="8">
        <f t="shared" si="0"/>
        <v>54943.223999999995</v>
      </c>
      <c r="H19" s="9">
        <f>10622.28*1.2+(38679.6+1597669.2*1)*2*1.2</f>
        <v>3939983.8560000001</v>
      </c>
      <c r="I19" s="9">
        <f>10622.28*1.2+(377320+1597669.2*1)*1.2</f>
        <v>2382733.7760000001</v>
      </c>
      <c r="J19" s="9">
        <f>10622.28*1.2+(377320+4812676.27*1)*2*1.2</f>
        <v>12468737.783999998</v>
      </c>
      <c r="K19" s="9">
        <f>10622.28*1.2+(377320+4812676.27*1)*1.2</f>
        <v>6240742.2599999988</v>
      </c>
    </row>
    <row r="20" spans="1:11" ht="15.75" thickBot="1" x14ac:dyDescent="0.3">
      <c r="A20" s="12">
        <v>1250</v>
      </c>
      <c r="B20" s="12" t="s">
        <v>8</v>
      </c>
      <c r="C20" s="1" t="s">
        <v>9</v>
      </c>
      <c r="D20" s="8">
        <f t="shared" si="2"/>
        <v>79822.535999999993</v>
      </c>
      <c r="E20" s="8">
        <f t="shared" si="3"/>
        <v>44175.119999999995</v>
      </c>
      <c r="F20" s="8">
        <f t="shared" si="1"/>
        <v>101358.74399999999</v>
      </c>
      <c r="G20" s="8">
        <f t="shared" si="0"/>
        <v>54943.223999999995</v>
      </c>
      <c r="H20" s="9">
        <f>10622.28*1.2+(38679.6+2061727.83*1.25+250*4790.45)*2*1.2</f>
        <v>9165031.2659999989</v>
      </c>
      <c r="I20" s="9">
        <f>10622.28*1.2+(38679.6+2061727.83*1.25+250*3606.83)*1.2</f>
        <v>4233803.0009999992</v>
      </c>
      <c r="J20" s="9">
        <f>10622.28*1.2+(38679.6+4752123.98*1.25+670*4840.39)*2*1.2</f>
        <v>22145296.835999999</v>
      </c>
      <c r="K20" s="9">
        <f>10622.28*1.2+(38679.6+4752123.98*1.25+670*5237.86)*1.2</f>
        <v>11398587.665999999</v>
      </c>
    </row>
    <row r="21" spans="1:11" ht="15.75" thickBot="1" x14ac:dyDescent="0.3">
      <c r="A21" s="14"/>
      <c r="B21" s="13"/>
      <c r="C21" s="1" t="s">
        <v>10</v>
      </c>
      <c r="D21" s="8">
        <f t="shared" si="2"/>
        <v>79822.535999999993</v>
      </c>
      <c r="E21" s="8">
        <f t="shared" si="3"/>
        <v>44175.119999999995</v>
      </c>
      <c r="F21" s="8">
        <f t="shared" si="1"/>
        <v>101358.74399999999</v>
      </c>
      <c r="G21" s="8">
        <f t="shared" si="0"/>
        <v>54943.223999999995</v>
      </c>
      <c r="H21" s="9">
        <f>10622.28*1.2+(38679.6+1597669.2*1.25+250*4790.45)*2*1.2</f>
        <v>7772855.3759999992</v>
      </c>
      <c r="I21" s="9">
        <f>10622.28*1.2+(38679.6+1597669.2*1.25+250*3606.83)*1.2</f>
        <v>3537715.0559999999</v>
      </c>
      <c r="J21" s="9">
        <f>10622.28*1.2+(38679.6+4812676.27*1.25+670*4840.39)*2*1.2</f>
        <v>22326953.705999997</v>
      </c>
      <c r="K21" s="9">
        <f>10622.28*1.2+(38679.6+4812676.27*1.25+670*5237.86)*1.2</f>
        <v>11489416.100999998</v>
      </c>
    </row>
    <row r="22" spans="1:11" ht="15.75" thickBot="1" x14ac:dyDescent="0.3">
      <c r="A22" s="14"/>
      <c r="B22" s="12" t="s">
        <v>11</v>
      </c>
      <c r="C22" s="1" t="s">
        <v>9</v>
      </c>
      <c r="D22" s="8">
        <f t="shared" si="2"/>
        <v>79822.535999999993</v>
      </c>
      <c r="E22" s="8">
        <f t="shared" si="3"/>
        <v>44175.119999999995</v>
      </c>
      <c r="F22" s="8">
        <f t="shared" si="1"/>
        <v>101358.74399999999</v>
      </c>
      <c r="G22" s="8">
        <f t="shared" si="0"/>
        <v>54943.223999999995</v>
      </c>
      <c r="H22" s="9">
        <f>10622.28*1.2+(38679.6+2061727.83*1.25)*2*1.2</f>
        <v>6290761.2659999998</v>
      </c>
      <c r="I22" s="9">
        <f>10622.28*1.2+(377320+2061727.83*1.25)*1.2</f>
        <v>3558122.4810000001</v>
      </c>
      <c r="J22" s="9">
        <f>10622.28*1.2+(377320+4752123.98*1.25)*2*1.2</f>
        <v>15174686.676000001</v>
      </c>
      <c r="K22" s="9">
        <f>10622.28*1.2+(377320+4752123.98*1.25)*1.2</f>
        <v>7593716.7060000002</v>
      </c>
    </row>
    <row r="23" spans="1:11" ht="15.75" thickBot="1" x14ac:dyDescent="0.3">
      <c r="A23" s="13"/>
      <c r="B23" s="13"/>
      <c r="C23" s="1" t="s">
        <v>10</v>
      </c>
      <c r="D23" s="8">
        <f t="shared" si="2"/>
        <v>79822.535999999993</v>
      </c>
      <c r="E23" s="8">
        <f t="shared" si="3"/>
        <v>44175.119999999995</v>
      </c>
      <c r="F23" s="8">
        <f t="shared" si="1"/>
        <v>101358.74399999999</v>
      </c>
      <c r="G23" s="8">
        <f t="shared" si="0"/>
        <v>54943.223999999995</v>
      </c>
      <c r="H23" s="9">
        <f>10622.28*1.2+(38679.6+1597669.2*1.25)*2*1.2</f>
        <v>4898585.3759999992</v>
      </c>
      <c r="I23" s="9">
        <f>10622.28*1.2+(377320+1597669.2*1.25)*1.2</f>
        <v>2862034.5359999998</v>
      </c>
      <c r="J23" s="9">
        <f>10622.28*1.2+(377320+4812676.27*1.25)*2*1.2</f>
        <v>15356343.545999998</v>
      </c>
      <c r="K23" s="9">
        <f>10622.28*1.2+(377320+4812676.27*1.25)*1.2</f>
        <v>7684545.1409999989</v>
      </c>
    </row>
    <row r="24" spans="1:11" x14ac:dyDescent="0.25">
      <c r="A24" s="7"/>
    </row>
    <row r="25" spans="1:11" ht="67.900000000000006" customHeight="1" x14ac:dyDescent="0.25">
      <c r="A25" s="10" t="s">
        <v>14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</row>
  </sheetData>
  <mergeCells count="19">
    <mergeCell ref="A20:A23"/>
    <mergeCell ref="B20:B21"/>
    <mergeCell ref="B22:B23"/>
    <mergeCell ref="A25:K25"/>
    <mergeCell ref="A3:K3"/>
    <mergeCell ref="B8:B9"/>
    <mergeCell ref="B10:B11"/>
    <mergeCell ref="A12:A15"/>
    <mergeCell ref="B12:B13"/>
    <mergeCell ref="B14:B15"/>
    <mergeCell ref="A16:A19"/>
    <mergeCell ref="B16:B17"/>
    <mergeCell ref="B18:B19"/>
    <mergeCell ref="A5:C5"/>
    <mergeCell ref="D5:E5"/>
    <mergeCell ref="F5:G5"/>
    <mergeCell ref="H5:I5"/>
    <mergeCell ref="J5:K5"/>
    <mergeCell ref="A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Милых Вера</cp:lastModifiedBy>
  <dcterms:created xsi:type="dcterms:W3CDTF">2015-06-05T18:19:34Z</dcterms:created>
  <dcterms:modified xsi:type="dcterms:W3CDTF">2022-03-29T08:32:15Z</dcterms:modified>
</cp:coreProperties>
</file>